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<sst xmlns="http://schemas.openxmlformats.org/spreadsheetml/2006/main" count="816" uniqueCount="226">
  <si>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</si>
  <si>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</si>
  <si>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</si>
  <si>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</si>
  <si>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</si>
  <si>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</si>
  <si>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</si>
  <si>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</si>
  <si>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</si>
  <si>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</si>
  <si>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</si>
  <si>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</si>
  <si>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</si>
  <si>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</si>
  <si>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</si>
  <si>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</si>
  <si>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</si>
  <si>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</si>
  <si>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</si>
  <si>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</si>
  <si>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</si>
  <si>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</si>
  <si>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</si>
  <si>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</si>
  <si>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</si>
  <si>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</si>
  <si>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</si>
  <si>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</si>
  <si>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</si>
  <si>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</si>
  <si>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</si>
  <si>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</si>
  <si>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</si>
  <si>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</si>
  <si>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</si>
  <si>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</si>
  <si>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</si>
  <si>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</si>
  <si>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</si>
  <si>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</si>
  <si>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</si>
  <si>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</si>
  <si>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</si>
  <si>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</si>
  <si>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</si>
  <si>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</si>
  <si>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</si>
  <si>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</si>
  <si>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</si>
  <si>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</si>
  <si>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</si>
  <si>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</si>
  <si>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</si>
  <si>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</si>
  <si>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</si>
  <si>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</si>
  <si>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</si>
  <si>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</si>
  <si>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</si>
  <si>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</si>
  <si>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</si>
  <si>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</si>
  <si>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</si>
  <si>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</si>
  <si>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</si>
  <si>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</si>
  <si>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</si>
  <si>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</si>
  <si>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</si>
  <si>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</si>
  <si>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</si>
  <si>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</si>
  <si>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</si>
  <si>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</si>
  <si>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</si>
  <si>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</si>
  <si>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</si>
  <si>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</si>
  <si>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</si>
  <si>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</si>
  <si>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</si>
  <si>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</si>
  <si>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</si>
  <si>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</si>
  <si>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</si>
  <si>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</si>
  <si>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</si>
  <si>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</si>
  <si>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</si>
  <si>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</si>
  <si>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</si>
  <si>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</si>
  <si>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</si>
  <si>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</si>
  <si>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</si>
  <si>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</si>
  <si>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</si>
  <si>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</si>
  <si>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</si>
  <si>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</si>
  <si>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</si>
  <si>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</si>
  <si>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</si>
  <si>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</si>
  <si>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</si>
  <si>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</si>
  <si>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</si>
  <si>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</si>
  <si>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</si>
  <si>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</si>
  <si>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</si>
  <si>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</si>
  <si>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</si>
  <si>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</si>
  <si>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</si>
  <si>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</si>
  <si>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</si>
  <si>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</si>
  <si>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</si>
  <si>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</si>
  <si>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</si>
  <si>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</si>
  <si>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</si>
  <si>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</si>
  <si>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</si>
  <si>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</si>
  <si>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</si>
  <si>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</si>
  <si>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</si>
  <si>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</si>
  <si>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</si>
  <si>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</si>
  <si>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</si>
  <si>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</si>
  <si>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</si>
  <si>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</si>
  <si>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</si>
  <si>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</si>
  <si>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</si>
  <si>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</si>
  <si>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</si>
  <si>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</si>
  <si>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</si>
  <si>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</si>
  <si>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</si>
  <si>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</si>
  <si>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</si>
  <si>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</si>
  <si>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</si>
  <si>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</si>
  <si>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</si>
  <si>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</si>
  <si>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</si>
  <si>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</si>
  <si>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</si>
  <si>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</si>
  <si>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</si>
  <si>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</si>
  <si>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</si>
  <si>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</si>
  <si>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</si>
  <si>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</si>
  <si>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</si>
  <si>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</si>
  <si>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</si>
  <si>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</si>
  <si>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</si>
  <si>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</si>
  <si>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</si>
  <si>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</si>
  <si>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</si>
  <si>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</si>
  <si>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</si>
  <si>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</si>
  <si>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</si>
  <si>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</si>
  <si>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</si>
  <si>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</si>
  <si>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</si>
  <si>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</si>
  <si>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</si>
  <si>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</si>
  <si>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</si>
  <si>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</si>
  <si>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</si>
  <si>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</si>
  <si>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</si>
  <si>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</si>
  <si>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</si>
  <si>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</si>
  <si>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</si>
  <si>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</si>
  <si>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</si>
  <si>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</si>
  <si>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</si>
  <si>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</si>
  <si>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</si>
  <si>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</si>
  <si>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</si>
  <si>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</si>
  <si>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</si>
  <si>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</si>
  <si>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</si>
  <si>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</si>
  <si>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</si>
  <si>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</si>
  <si>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</si>
  <si>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</si>
  <si>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</si>
  <si>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</si>
  <si>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</si>
  <si>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</si>
  <si>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</si>
  <si>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</si>
  <si>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</si>
  <si>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</si>
  <si>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</si>
  <si>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</si>
  <si>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</si>
  <si>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</si>
  <si>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</si>
  <si>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</si>
  <si>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</si>
  <si>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</si>
  <si>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</si>
  <si>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8.04.14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</si>
</sst>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7">
        <row r="6">
          <cell r="G6">
            <v>116527577.08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102702355.12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33" sqref="G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210</v>
      </c>
      <c r="N3" s="208" t="s">
        <v>221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217</v>
      </c>
      <c r="H4" s="177" t="s">
        <v>218</v>
      </c>
      <c r="I4" s="211" t="s">
        <v>188</v>
      </c>
      <c r="J4" s="197" t="s">
        <v>189</v>
      </c>
      <c r="K4" s="201" t="s">
        <v>219</v>
      </c>
      <c r="L4" s="202"/>
      <c r="M4" s="214"/>
      <c r="N4" s="168" t="s">
        <v>225</v>
      </c>
      <c r="O4" s="211" t="s">
        <v>136</v>
      </c>
      <c r="P4" s="211" t="s">
        <v>135</v>
      </c>
      <c r="Q4" s="201" t="s">
        <v>222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216</v>
      </c>
      <c r="F5" s="216"/>
      <c r="G5" s="210"/>
      <c r="H5" s="178"/>
      <c r="I5" s="212"/>
      <c r="J5" s="199"/>
      <c r="K5" s="153"/>
      <c r="L5" s="164"/>
      <c r="M5" s="151" t="s">
        <v>220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157260.99000000002</v>
      </c>
      <c r="F8" s="22">
        <f>F10+F19+F33+F56+F68+F30</f>
        <v>114592.63000000002</v>
      </c>
      <c r="G8" s="22">
        <f aca="true" t="shared" si="0" ref="G8:G30">F8-E8</f>
        <v>-42668.36</v>
      </c>
      <c r="H8" s="51">
        <f>F8/E8*100</f>
        <v>72.8678040243801</v>
      </c>
      <c r="I8" s="36">
        <f aca="true" t="shared" si="1" ref="I8:I17">F8-D8</f>
        <v>-404736.67</v>
      </c>
      <c r="J8" s="36">
        <f aca="true" t="shared" si="2" ref="J8:J14">F8/D8*100</f>
        <v>22.065504488192754</v>
      </c>
      <c r="K8" s="36">
        <f>F8-151112.7</f>
        <v>-36520.06999999999</v>
      </c>
      <c r="L8" s="136">
        <f>F8/151112.7</f>
        <v>0.7583256073116291</v>
      </c>
      <c r="M8" s="22">
        <f>M10+M19+M33+M56+M68+M30</f>
        <v>42023.09</v>
      </c>
      <c r="N8" s="22">
        <f>N10+N19+N33+N56+N68+N30</f>
        <v>6983.620000000003</v>
      </c>
      <c r="O8" s="36">
        <f aca="true" t="shared" si="3" ref="O8:O71">N8-M8</f>
        <v>-35039.469999999994</v>
      </c>
      <c r="P8" s="36">
        <f>F8/M8*100</f>
        <v>272.6896808397479</v>
      </c>
      <c r="Q8" s="36">
        <f>N8-40194.7</f>
        <v>-33211.079999999994</v>
      </c>
      <c r="R8" s="134">
        <f>N8/40194.7</f>
        <v>0.17374479719963087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92412.58</v>
      </c>
      <c r="G9" s="22">
        <f t="shared" si="0"/>
        <v>92412.58</v>
      </c>
      <c r="H9" s="20"/>
      <c r="I9" s="56">
        <f t="shared" si="1"/>
        <v>-325953.62</v>
      </c>
      <c r="J9" s="56">
        <f t="shared" si="2"/>
        <v>22.08892114133503</v>
      </c>
      <c r="K9" s="56"/>
      <c r="L9" s="135"/>
      <c r="M9" s="20">
        <f>M10+M17</f>
        <v>35046.5</v>
      </c>
      <c r="N9" s="20">
        <f>N10+N17</f>
        <v>6365.970000000001</v>
      </c>
      <c r="O9" s="36">
        <f t="shared" si="3"/>
        <v>-28680.53</v>
      </c>
      <c r="P9" s="56">
        <f>F9/M9*100</f>
        <v>263.6856176793688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128503.1</v>
      </c>
      <c r="F10" s="40">
        <v>92412.58</v>
      </c>
      <c r="G10" s="49">
        <f t="shared" si="0"/>
        <v>-36090.520000000004</v>
      </c>
      <c r="H10" s="40">
        <f aca="true" t="shared" si="4" ref="H10:H17">F10/E10*100</f>
        <v>71.91466976283061</v>
      </c>
      <c r="I10" s="56">
        <f t="shared" si="1"/>
        <v>-325953.62</v>
      </c>
      <c r="J10" s="56">
        <f t="shared" si="2"/>
        <v>22.08892114133503</v>
      </c>
      <c r="K10" s="141">
        <f>F10-117271.4</f>
        <v>-24858.819999999992</v>
      </c>
      <c r="L10" s="142">
        <f>F10/117271.4</f>
        <v>0.7880231667738256</v>
      </c>
      <c r="M10" s="40">
        <f>E10-березень!E10</f>
        <v>35046.5</v>
      </c>
      <c r="N10" s="40">
        <f>F10-березень!F10</f>
        <v>6365.970000000001</v>
      </c>
      <c r="O10" s="53">
        <f t="shared" si="3"/>
        <v>-28680.53</v>
      </c>
      <c r="P10" s="56">
        <f aca="true" t="shared" si="5" ref="P10:P17">N10/M10*100</f>
        <v>18.164353073773416</v>
      </c>
      <c r="Q10" s="141">
        <f>N10-32056.3</f>
        <v>-25690.329999999998</v>
      </c>
      <c r="R10" s="142">
        <f>N10/32056.3</f>
        <v>0.19858717319216507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1239.6</v>
      </c>
      <c r="F19" s="40">
        <v>817.72</v>
      </c>
      <c r="G19" s="49">
        <f t="shared" si="0"/>
        <v>-421.8799999999999</v>
      </c>
      <c r="H19" s="40">
        <f aca="true" t="shared" si="6" ref="H19:H29">F19/E19*100</f>
        <v>65.96644078735076</v>
      </c>
      <c r="I19" s="56">
        <f aca="true" t="shared" si="7" ref="I19:I29">F19-D19</f>
        <v>-5182.28</v>
      </c>
      <c r="J19" s="56">
        <f aca="true" t="shared" si="8" ref="J19:J29">F19/D19*100</f>
        <v>13.628666666666668</v>
      </c>
      <c r="K19" s="56">
        <f>F19-4735.9</f>
        <v>-3918.1799999999994</v>
      </c>
      <c r="L19" s="135">
        <f>F19/4735.9</f>
        <v>0.17266411875250745</v>
      </c>
      <c r="M19" s="40">
        <f>E19-березень!E19</f>
        <v>11</v>
      </c>
      <c r="N19" s="40">
        <f>F19-березень!F19</f>
        <v>2.0400000000000773</v>
      </c>
      <c r="O19" s="53">
        <f t="shared" si="3"/>
        <v>-8.959999999999923</v>
      </c>
      <c r="P19" s="56">
        <f aca="true" t="shared" si="9" ref="P19:P29">N19/M19*100</f>
        <v>18.545454545455247</v>
      </c>
      <c r="Q19" s="56">
        <f>N19-450.5</f>
        <v>-448.4599999999999</v>
      </c>
      <c r="R19" s="135">
        <f>N19/450.5</f>
        <v>0.004528301886792625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739.6</v>
      </c>
      <c r="F29" s="146">
        <v>751.16</v>
      </c>
      <c r="G29" s="49">
        <f t="shared" si="0"/>
        <v>11.559999999999945</v>
      </c>
      <c r="H29" s="40">
        <f t="shared" si="6"/>
        <v>101.56300703082746</v>
      </c>
      <c r="I29" s="56">
        <f t="shared" si="7"/>
        <v>-2248.84</v>
      </c>
      <c r="J29" s="56">
        <f t="shared" si="8"/>
        <v>25.038666666666664</v>
      </c>
      <c r="K29" s="148">
        <f>F29-1169.5</f>
        <v>-418.34000000000003</v>
      </c>
      <c r="L29" s="149">
        <f>F29/1169.5</f>
        <v>0.6422915775972637</v>
      </c>
      <c r="M29" s="40">
        <f>E29-березень!E29</f>
        <v>11</v>
      </c>
      <c r="N29" s="40">
        <f>F29-березень!F29</f>
        <v>0</v>
      </c>
      <c r="O29" s="148">
        <f t="shared" si="3"/>
        <v>-11</v>
      </c>
      <c r="P29" s="145">
        <f t="shared" si="9"/>
        <v>0</v>
      </c>
      <c r="Q29" s="148">
        <f>N29-438.2</f>
        <v>-438.2</v>
      </c>
      <c r="R29" s="149">
        <f>N29/438.2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v>25270.59</v>
      </c>
      <c r="F33" s="40">
        <v>19586.65</v>
      </c>
      <c r="G33" s="49">
        <f aca="true" t="shared" si="14" ref="G33:G72">F33-E33</f>
        <v>-5683.939999999999</v>
      </c>
      <c r="H33" s="40">
        <f aca="true" t="shared" si="15" ref="H33:H67">F33/E33*100</f>
        <v>77.50768779043149</v>
      </c>
      <c r="I33" s="56">
        <f>F33-D33</f>
        <v>-68479.35</v>
      </c>
      <c r="J33" s="56">
        <f aca="true" t="shared" si="16" ref="J33:J72">F33/D33*100</f>
        <v>22.240876161061024</v>
      </c>
      <c r="K33" s="141">
        <f>F33-26928.2</f>
        <v>-7341.549999999999</v>
      </c>
      <c r="L33" s="142">
        <f>F33/26928.2</f>
        <v>0.7273657355486071</v>
      </c>
      <c r="M33" s="40">
        <f>E33-березень!E33</f>
        <v>6412.09</v>
      </c>
      <c r="N33" s="40">
        <f>F33-березень!F33</f>
        <v>497.380000000001</v>
      </c>
      <c r="O33" s="53">
        <f t="shared" si="3"/>
        <v>-5914.709999999999</v>
      </c>
      <c r="P33" s="56">
        <f aca="true" t="shared" si="17" ref="P33:P67">N33/M33*100</f>
        <v>7.756909213688533</v>
      </c>
      <c r="Q33" s="141">
        <f>N33-7165.5</f>
        <v>-6668.119999999999</v>
      </c>
      <c r="R33" s="142">
        <f>N33/7165.5</f>
        <v>0.0694131602819065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v>18810.29</v>
      </c>
      <c r="F55" s="146">
        <v>14651.99</v>
      </c>
      <c r="G55" s="144">
        <f t="shared" si="14"/>
        <v>-4158.300000000001</v>
      </c>
      <c r="H55" s="146">
        <f t="shared" si="15"/>
        <v>77.8934827692715</v>
      </c>
      <c r="I55" s="145">
        <f t="shared" si="18"/>
        <v>-51614.01</v>
      </c>
      <c r="J55" s="145">
        <f t="shared" si="16"/>
        <v>22.11087133673377</v>
      </c>
      <c r="K55" s="148">
        <f>F55-19428.9</f>
        <v>-4776.910000000002</v>
      </c>
      <c r="L55" s="149">
        <f>F55/19428.9</f>
        <v>0.7541337903844273</v>
      </c>
      <c r="M55" s="40">
        <f>E55-березень!E55</f>
        <v>4792.090000000002</v>
      </c>
      <c r="N55" s="40">
        <f>F55-березень!F55</f>
        <v>454.97999999999956</v>
      </c>
      <c r="O55" s="148">
        <f t="shared" si="3"/>
        <v>-4337.110000000002</v>
      </c>
      <c r="P55" s="148">
        <f t="shared" si="17"/>
        <v>9.494395973364426</v>
      </c>
      <c r="Q55" s="218">
        <f>N55-4813.7</f>
        <v>-4358.72</v>
      </c>
      <c r="R55" s="219">
        <f>N55/4813.7</f>
        <v>0.09451773064378743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1771.94</v>
      </c>
      <c r="G56" s="49">
        <f t="shared" si="14"/>
        <v>-466.15999999999985</v>
      </c>
      <c r="H56" s="40">
        <f t="shared" si="15"/>
        <v>79.17161878378984</v>
      </c>
      <c r="I56" s="56">
        <f t="shared" si="18"/>
        <v>-5088.0599999999995</v>
      </c>
      <c r="J56" s="56">
        <f t="shared" si="16"/>
        <v>25.830029154518954</v>
      </c>
      <c r="K56" s="56">
        <f>F56-2151.9</f>
        <v>-379.96000000000004</v>
      </c>
      <c r="L56" s="135">
        <f>F56/2151.9</f>
        <v>0.8234304568056137</v>
      </c>
      <c r="M56" s="40">
        <f>E56-березень!E56</f>
        <v>553</v>
      </c>
      <c r="N56" s="40">
        <f>F56-березень!F56</f>
        <v>118.23000000000002</v>
      </c>
      <c r="O56" s="53">
        <f t="shared" si="3"/>
        <v>-434.77</v>
      </c>
      <c r="P56" s="56">
        <f t="shared" si="17"/>
        <v>21.379746835443044</v>
      </c>
      <c r="Q56" s="56">
        <f>N56-522.5</f>
        <v>-404.27</v>
      </c>
      <c r="R56" s="135">
        <f>N56/522.5</f>
        <v>0.22627751196172252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3907.5</v>
      </c>
      <c r="F74" s="22">
        <f>F77+F86+F88+F89+F94+F95+F96+F97+F99+F103+F87</f>
        <v>3886.31</v>
      </c>
      <c r="G74" s="50">
        <f aca="true" t="shared" si="24" ref="G74:G92">F74-E74</f>
        <v>-21.190000000000055</v>
      </c>
      <c r="H74" s="51">
        <f aca="true" t="shared" si="25" ref="H74:H87">F74/E74*100</f>
        <v>99.45770953294945</v>
      </c>
      <c r="I74" s="36">
        <f aca="true" t="shared" si="26" ref="I74:I92">F74-D74</f>
        <v>-13779.289999999999</v>
      </c>
      <c r="J74" s="36">
        <f aca="true" t="shared" si="27" ref="J74:J92">F74/D74*100</f>
        <v>21.999309392265197</v>
      </c>
      <c r="K74" s="36">
        <f>F74-5374.8</f>
        <v>-1488.4900000000002</v>
      </c>
      <c r="L74" s="136">
        <f>F74/5374.8</f>
        <v>0.7230613232120264</v>
      </c>
      <c r="M74" s="22">
        <f>M77+M86+M88+M89+M94+M95+M96+M97+M99+M87+M103</f>
        <v>1075.5</v>
      </c>
      <c r="N74" s="22">
        <f>N77+N86+N88+N89+N94+N95+N96+N97+N99+N32+N103+N87</f>
        <v>766.76</v>
      </c>
      <c r="O74" s="55">
        <f aca="true" t="shared" si="28" ref="O74:O92">N74-M74</f>
        <v>-308.74</v>
      </c>
      <c r="P74" s="36">
        <f>N74/M74*100</f>
        <v>71.29335192933519</v>
      </c>
      <c r="Q74" s="36">
        <f>N74-1526</f>
        <v>-759.24</v>
      </c>
      <c r="R74" s="136">
        <f>N74/1526</f>
        <v>0.5024639580602883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-1678.13</v>
      </c>
      <c r="J77" s="56">
        <f t="shared" si="27"/>
        <v>1.286470588235294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E87-березень!E87</f>
        <v>0</v>
      </c>
      <c r="N87" s="40">
        <f>F87-березень!F87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26.97</v>
      </c>
      <c r="G89" s="49">
        <f t="shared" si="24"/>
        <v>-27.03</v>
      </c>
      <c r="H89" s="40">
        <f>F89/E89*100</f>
        <v>49.94444444444444</v>
      </c>
      <c r="I89" s="56">
        <f t="shared" si="26"/>
        <v>-148.03</v>
      </c>
      <c r="J89" s="56">
        <f t="shared" si="27"/>
        <v>15.411428571428571</v>
      </c>
      <c r="K89" s="56">
        <f>F89-66.3</f>
        <v>-39.33</v>
      </c>
      <c r="L89" s="135">
        <f>F89/66.3</f>
        <v>0.4067873303167421</v>
      </c>
      <c r="M89" s="40">
        <f>E89-березень!E89</f>
        <v>15</v>
      </c>
      <c r="N89" s="40">
        <f>F89-березень!F89</f>
        <v>0.1999999999999993</v>
      </c>
      <c r="O89" s="53">
        <f t="shared" si="28"/>
        <v>-14.8</v>
      </c>
      <c r="P89" s="56">
        <f>N89/M89*100</f>
        <v>1.3333333333333286</v>
      </c>
      <c r="Q89" s="56">
        <f>N89-18.8</f>
        <v>-18.6</v>
      </c>
      <c r="R89" s="135">
        <f>N89/18.8</f>
        <v>0.010638297872340387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2191.5</v>
      </c>
      <c r="F95" s="57">
        <v>2386.61</v>
      </c>
      <c r="G95" s="49">
        <f t="shared" si="31"/>
        <v>195.11000000000013</v>
      </c>
      <c r="H95" s="40">
        <f>F95/E95*100</f>
        <v>108.90303445128909</v>
      </c>
      <c r="I95" s="56">
        <f t="shared" si="32"/>
        <v>-3913.39</v>
      </c>
      <c r="J95" s="56">
        <f>F95/D95*100</f>
        <v>37.88269841269841</v>
      </c>
      <c r="K95" s="56">
        <f>F95-2269.2</f>
        <v>117.41000000000031</v>
      </c>
      <c r="L95" s="135">
        <f>F95/2269.2</f>
        <v>1.051740701568835</v>
      </c>
      <c r="M95" s="40">
        <f>E95-березень!E95</f>
        <v>515</v>
      </c>
      <c r="N95" s="40">
        <f>F95-березень!F95</f>
        <v>659.21</v>
      </c>
      <c r="O95" s="53">
        <f t="shared" si="33"/>
        <v>144.21000000000004</v>
      </c>
      <c r="P95" s="56">
        <f>N95/M95*100</f>
        <v>128.00194174757283</v>
      </c>
      <c r="Q95" s="56">
        <f>N95-790.5</f>
        <v>-131.28999999999996</v>
      </c>
      <c r="R95" s="135">
        <f>N95/790.5</f>
        <v>0.8339152435167616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209.92</v>
      </c>
      <c r="G96" s="49">
        <f t="shared" si="31"/>
        <v>-84.58000000000001</v>
      </c>
      <c r="H96" s="40">
        <f>F96/E96*100</f>
        <v>71.28013582342953</v>
      </c>
      <c r="I96" s="56">
        <f t="shared" si="32"/>
        <v>-990.08</v>
      </c>
      <c r="J96" s="56">
        <f>F96/D96*100</f>
        <v>17.493333333333332</v>
      </c>
      <c r="K96" s="56">
        <f>F96-305.5</f>
        <v>-95.58000000000001</v>
      </c>
      <c r="L96" s="135">
        <f>F96/305.5</f>
        <v>0.6871358428805237</v>
      </c>
      <c r="M96" s="40">
        <f>E96-березень!E96</f>
        <v>70</v>
      </c>
      <c r="N96" s="40">
        <f>F96-березень!F96</f>
        <v>11.049999999999983</v>
      </c>
      <c r="O96" s="53">
        <f t="shared" si="33"/>
        <v>-58.95000000000002</v>
      </c>
      <c r="P96" s="56">
        <f>N96/M96*100</f>
        <v>15.785714285714262</v>
      </c>
      <c r="Q96" s="56">
        <f>N96-144</f>
        <v>-132.95000000000002</v>
      </c>
      <c r="R96" s="135">
        <f>N96/144</f>
        <v>0.07673611111111099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1047</v>
      </c>
      <c r="F99" s="57">
        <v>1012.19</v>
      </c>
      <c r="G99" s="49">
        <f t="shared" si="31"/>
        <v>-34.809999999999945</v>
      </c>
      <c r="H99" s="40">
        <f>F99/E99*100</f>
        <v>96.67526265520536</v>
      </c>
      <c r="I99" s="56">
        <f t="shared" si="32"/>
        <v>-2867.81</v>
      </c>
      <c r="J99" s="56">
        <f>F99/D99*100</f>
        <v>26.08737113402062</v>
      </c>
      <c r="K99" s="56">
        <f>F99-994.9</f>
        <v>17.290000000000077</v>
      </c>
      <c r="L99" s="135">
        <f>F99/994.9</f>
        <v>1.017378631018193</v>
      </c>
      <c r="M99" s="40">
        <f>E99-березень!E99</f>
        <v>270</v>
      </c>
      <c r="N99" s="40">
        <f>F99-березень!F99</f>
        <v>98.34000000000003</v>
      </c>
      <c r="O99" s="53">
        <f t="shared" si="33"/>
        <v>-171.65999999999997</v>
      </c>
      <c r="P99" s="56">
        <f>N99/M99*100</f>
        <v>36.42222222222223</v>
      </c>
      <c r="Q99" s="56">
        <f>N99-264.3</f>
        <v>-165.95999999999998</v>
      </c>
      <c r="R99" s="135">
        <f>N99/264.3</f>
        <v>0.3720771850170262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198</v>
      </c>
      <c r="G102" s="144"/>
      <c r="H102" s="146"/>
      <c r="I102" s="145"/>
      <c r="J102" s="145"/>
      <c r="K102" s="148">
        <f>F102-139.6</f>
        <v>58.400000000000006</v>
      </c>
      <c r="L102" s="149">
        <f>F102/139.6</f>
        <v>1.4183381088825215</v>
      </c>
      <c r="M102" s="40">
        <f>E102-березень!E102</f>
        <v>0</v>
      </c>
      <c r="N102" s="40">
        <f>F102-березень!F102</f>
        <v>24.099999999999994</v>
      </c>
      <c r="O102" s="53"/>
      <c r="P102" s="60"/>
      <c r="Q102" s="60">
        <f>N102-51</f>
        <v>-26.900000000000006</v>
      </c>
      <c r="R102" s="138">
        <f>N102/51</f>
        <v>0.472549019607843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5.91</v>
      </c>
      <c r="G104" s="49">
        <f>F104-E104</f>
        <v>-3.289999999999999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E104-березень!E104</f>
        <v>2.999999999999999</v>
      </c>
      <c r="N104" s="40">
        <f>F104-березень!F104</f>
        <v>0</v>
      </c>
      <c r="O104" s="53">
        <f t="shared" si="35"/>
        <v>-2.999999999999999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161177.69000000003</v>
      </c>
      <c r="F106" s="22">
        <f>F8+F74+F104+F105</f>
        <v>118484.89000000001</v>
      </c>
      <c r="G106" s="50">
        <f>F106-E106</f>
        <v>-42692.80000000002</v>
      </c>
      <c r="H106" s="51">
        <f>F106/E106*100</f>
        <v>73.51196682369626</v>
      </c>
      <c r="I106" s="36">
        <f t="shared" si="34"/>
        <v>-418555.01</v>
      </c>
      <c r="J106" s="36">
        <f t="shared" si="36"/>
        <v>22.062586038765463</v>
      </c>
      <c r="K106" s="36">
        <f>F106-156502.1</f>
        <v>-38017.20999999999</v>
      </c>
      <c r="L106" s="136">
        <f>F106/156502.1</f>
        <v>0.7570817899568122</v>
      </c>
      <c r="M106" s="22">
        <f>M8+M74+M104+M105</f>
        <v>43101.59</v>
      </c>
      <c r="N106" s="22">
        <f>N8+N74+N104+N105</f>
        <v>7750.380000000003</v>
      </c>
      <c r="O106" s="55">
        <f t="shared" si="35"/>
        <v>-35351.20999999999</v>
      </c>
      <c r="P106" s="36">
        <f>N106/M106*100</f>
        <v>17.981656825189056</v>
      </c>
      <c r="Q106" s="36">
        <f>N106-41720.7</f>
        <v>-33970.31999999999</v>
      </c>
      <c r="R106" s="136">
        <f>N106/41720.7</f>
        <v>0.18576821577777947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128797.6</v>
      </c>
      <c r="F107" s="71">
        <f>F10-F18+F96</f>
        <v>92622.5</v>
      </c>
      <c r="G107" s="71">
        <f>G10-G18+G96</f>
        <v>-36175.100000000006</v>
      </c>
      <c r="H107" s="72">
        <f>F107/E107*100</f>
        <v>71.9132188798549</v>
      </c>
      <c r="I107" s="52">
        <f t="shared" si="34"/>
        <v>-326943.7</v>
      </c>
      <c r="J107" s="52">
        <f t="shared" si="36"/>
        <v>22.075777314759865</v>
      </c>
      <c r="K107" s="52">
        <f>F107-117642.3</f>
        <v>-25019.800000000003</v>
      </c>
      <c r="L107" s="137">
        <f>F107/117642.3</f>
        <v>0.7873230972192825</v>
      </c>
      <c r="M107" s="71">
        <f>M10-M18+M96</f>
        <v>35116.5</v>
      </c>
      <c r="N107" s="71">
        <f>N10-N18+N96</f>
        <v>6377.020000000001</v>
      </c>
      <c r="O107" s="53">
        <f t="shared" si="35"/>
        <v>-28739.48</v>
      </c>
      <c r="P107" s="52">
        <f>N107/M107*100</f>
        <v>18.159611578602654</v>
      </c>
      <c r="Q107" s="52">
        <f>N107-32216.7</f>
        <v>-25839.68</v>
      </c>
      <c r="R107" s="137">
        <f>N107/32216.7</f>
        <v>0.19794144030890815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32380.090000000026</v>
      </c>
      <c r="F108" s="71">
        <f>F106-F107</f>
        <v>25862.390000000014</v>
      </c>
      <c r="G108" s="62">
        <f>F108-E108</f>
        <v>-6517.700000000012</v>
      </c>
      <c r="H108" s="72">
        <f>F108/E108*100</f>
        <v>79.87127274816096</v>
      </c>
      <c r="I108" s="52">
        <f t="shared" si="34"/>
        <v>-91611.31</v>
      </c>
      <c r="J108" s="52">
        <f t="shared" si="36"/>
        <v>22.015472399354078</v>
      </c>
      <c r="K108" s="52">
        <f>F108-38859.8</f>
        <v>-12997.409999999989</v>
      </c>
      <c r="L108" s="137">
        <f>F108/38859.8</f>
        <v>0.6655307026798906</v>
      </c>
      <c r="M108" s="71">
        <f>M106-M107</f>
        <v>7985.0899999999965</v>
      </c>
      <c r="N108" s="71">
        <f>N106-N107</f>
        <v>1373.3600000000015</v>
      </c>
      <c r="O108" s="53">
        <f t="shared" si="35"/>
        <v>-6611.729999999995</v>
      </c>
      <c r="P108" s="52">
        <f>N108/M108*100</f>
        <v>17.199054738268472</v>
      </c>
      <c r="Q108" s="52">
        <f>N108-9504</f>
        <v>-8130.6399999999985</v>
      </c>
      <c r="R108" s="137">
        <f>N108/9504</f>
        <v>0.14450336700336716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128797.6</v>
      </c>
      <c r="F109" s="71">
        <f>F107</f>
        <v>92622.5</v>
      </c>
      <c r="G109" s="111">
        <f>F109-E109</f>
        <v>-36175.100000000006</v>
      </c>
      <c r="H109" s="72">
        <f>F109/E109*100</f>
        <v>71.9132188798549</v>
      </c>
      <c r="I109" s="81">
        <f t="shared" si="34"/>
        <v>-295590.7</v>
      </c>
      <c r="J109" s="52">
        <f t="shared" si="36"/>
        <v>23.85866838118848</v>
      </c>
      <c r="K109" s="52"/>
      <c r="L109" s="137"/>
      <c r="M109" s="72">
        <f>E109-березень!E109</f>
        <v>35116.5</v>
      </c>
      <c r="N109" s="71">
        <f>N107</f>
        <v>6377.020000000001</v>
      </c>
      <c r="O109" s="118">
        <f t="shared" si="35"/>
        <v>-28739.48</v>
      </c>
      <c r="P109" s="52">
        <f>N109/M109*100</f>
        <v>18.159611578602654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7435.62000000001</v>
      </c>
      <c r="F111" s="84">
        <v>0</v>
      </c>
      <c r="G111" s="62">
        <f>F111-E111</f>
        <v>-7435.62000000001</v>
      </c>
      <c r="H111" s="72"/>
      <c r="I111" s="85"/>
      <c r="J111" s="52"/>
      <c r="K111" s="52"/>
      <c r="L111" s="137"/>
      <c r="M111" s="217">
        <f>E111</f>
        <v>7435.62000000001</v>
      </c>
      <c r="N111" s="84">
        <v>0</v>
      </c>
      <c r="O111" s="118">
        <f>N111-M111</f>
        <v>-7435.62000000001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-1.89</v>
      </c>
      <c r="G113" s="49">
        <f aca="true" t="shared" si="37" ref="G113:G125">F113-E113</f>
        <v>-1.89</v>
      </c>
      <c r="H113" s="40"/>
      <c r="I113" s="60">
        <f aca="true" t="shared" si="38" ref="I113:I124">F113-D113</f>
        <v>-1.89</v>
      </c>
      <c r="J113" s="60"/>
      <c r="K113" s="60">
        <f>F113-6.7</f>
        <v>-8.59</v>
      </c>
      <c r="L113" s="138">
        <f>F113/6.7</f>
        <v>-0.28208955223880594</v>
      </c>
      <c r="M113" s="40">
        <f>E113-березень!E113</f>
        <v>0</v>
      </c>
      <c r="N113" s="40">
        <f>F113-березень!F113</f>
        <v>0.99</v>
      </c>
      <c r="O113" s="53"/>
      <c r="P113" s="60"/>
      <c r="Q113" s="60">
        <f>N113-2.1</f>
        <v>-1.11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319.38</v>
      </c>
      <c r="G114" s="49">
        <f t="shared" si="37"/>
        <v>-722.7199999999999</v>
      </c>
      <c r="H114" s="40">
        <f aca="true" t="shared" si="39" ref="H114:H125">F114/E114*100</f>
        <v>30.64773054409366</v>
      </c>
      <c r="I114" s="60">
        <f t="shared" si="38"/>
        <v>-3352.12</v>
      </c>
      <c r="J114" s="60">
        <f aca="true" t="shared" si="40" ref="J114:J120">F114/D114*100</f>
        <v>8.698896908620455</v>
      </c>
      <c r="K114" s="60">
        <f>F114-1203.2</f>
        <v>-883.82</v>
      </c>
      <c r="L114" s="138">
        <f>F114/1203.2</f>
        <v>0.26544215425531914</v>
      </c>
      <c r="M114" s="40">
        <f>E114-березень!E114</f>
        <v>327.4999999999999</v>
      </c>
      <c r="N114" s="40">
        <f>F114-березень!F114</f>
        <v>35.73000000000002</v>
      </c>
      <c r="O114" s="53">
        <f aca="true" t="shared" si="41" ref="O114:O125">N114-M114</f>
        <v>-291.76999999999987</v>
      </c>
      <c r="P114" s="60">
        <f>N114/M114*100</f>
        <v>10.909923664122147</v>
      </c>
      <c r="Q114" s="60">
        <f>N114-368.9</f>
        <v>-333.16999999999996</v>
      </c>
      <c r="R114" s="138">
        <f>N114/368.9</f>
        <v>0.09685551640010849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78.94</v>
      </c>
      <c r="G115" s="49">
        <f t="shared" si="37"/>
        <v>-11.560000000000002</v>
      </c>
      <c r="H115" s="40">
        <f t="shared" si="39"/>
        <v>87.22651933701657</v>
      </c>
      <c r="I115" s="60">
        <f t="shared" si="38"/>
        <v>-189.16000000000003</v>
      </c>
      <c r="J115" s="60">
        <f t="shared" si="40"/>
        <v>29.44423722491607</v>
      </c>
      <c r="K115" s="60">
        <f>F115-84.2</f>
        <v>-5.260000000000005</v>
      </c>
      <c r="L115" s="138">
        <f>F115/84.2</f>
        <v>0.9375296912114014</v>
      </c>
      <c r="M115" s="40">
        <f>E115-березень!E115</f>
        <v>22</v>
      </c>
      <c r="N115" s="40">
        <f>F115-березень!F115</f>
        <v>8.25</v>
      </c>
      <c r="O115" s="53">
        <f t="shared" si="41"/>
        <v>-13.75</v>
      </c>
      <c r="P115" s="60">
        <f>N115/M115*100</f>
        <v>37.5</v>
      </c>
      <c r="Q115" s="60">
        <f>N115-20.8</f>
        <v>-12.55</v>
      </c>
      <c r="R115" s="138">
        <f>N115/20.8</f>
        <v>0.39663461538461536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396.43</v>
      </c>
      <c r="G116" s="62">
        <f t="shared" si="37"/>
        <v>-736.1699999999998</v>
      </c>
      <c r="H116" s="72">
        <f t="shared" si="39"/>
        <v>35.0017658484902</v>
      </c>
      <c r="I116" s="61">
        <f t="shared" si="38"/>
        <v>-3543.17</v>
      </c>
      <c r="J116" s="61">
        <f t="shared" si="40"/>
        <v>10.062696720479238</v>
      </c>
      <c r="K116" s="61">
        <f>F116-1294.2</f>
        <v>-897.77</v>
      </c>
      <c r="L116" s="139">
        <f>F116/1294.2</f>
        <v>0.3063127800958121</v>
      </c>
      <c r="M116" s="62">
        <f>M114+M115+M113</f>
        <v>349.4999999999999</v>
      </c>
      <c r="N116" s="38">
        <f>SUM(N113:N115)</f>
        <v>44.97000000000002</v>
      </c>
      <c r="O116" s="61">
        <f t="shared" si="41"/>
        <v>-304.52999999999986</v>
      </c>
      <c r="P116" s="61">
        <f>N116/M116*100</f>
        <v>12.866952789699582</v>
      </c>
      <c r="Q116" s="61">
        <f>N116-391.8</f>
        <v>-346.83</v>
      </c>
      <c r="R116" s="139">
        <f>N116/391.8</f>
        <v>0.11477794793261874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106.82</v>
      </c>
      <c r="G118" s="49">
        <f t="shared" si="37"/>
        <v>106.82</v>
      </c>
      <c r="H118" s="40" t="e">
        <f t="shared" si="39"/>
        <v>#DIV/0!</v>
      </c>
      <c r="I118" s="60">
        <f t="shared" si="38"/>
        <v>106.82</v>
      </c>
      <c r="J118" s="60" t="e">
        <f t="shared" si="40"/>
        <v>#DIV/0!</v>
      </c>
      <c r="K118" s="60">
        <f>F118-88.4</f>
        <v>18.419999999999987</v>
      </c>
      <c r="L118" s="138">
        <f>F118/88.4</f>
        <v>1.2083710407239818</v>
      </c>
      <c r="M118" s="40">
        <f>E118-березень!E118</f>
        <v>0</v>
      </c>
      <c r="N118" s="40">
        <f>F118-березень!F118</f>
        <v>5.349999999999994</v>
      </c>
      <c r="O118" s="53" t="s">
        <v>166</v>
      </c>
      <c r="P118" s="60"/>
      <c r="Q118" s="60">
        <f>N118-80.7</f>
        <v>-75.35000000000001</v>
      </c>
      <c r="R118" s="138">
        <f>N118/80.7</f>
        <v>0.06629491945477069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23812.6</v>
      </c>
      <c r="F119" s="33">
        <v>21052.97</v>
      </c>
      <c r="G119" s="49">
        <f t="shared" si="37"/>
        <v>-2759.6299999999974</v>
      </c>
      <c r="H119" s="40">
        <f t="shared" si="39"/>
        <v>88.41105129217306</v>
      </c>
      <c r="I119" s="53">
        <f t="shared" si="38"/>
        <v>-4934.414999999997</v>
      </c>
      <c r="J119" s="60">
        <f t="shared" si="40"/>
        <v>81.01226806775674</v>
      </c>
      <c r="K119" s="60">
        <f>F119-23645.2</f>
        <v>-2592.2299999999996</v>
      </c>
      <c r="L119" s="138">
        <f>F119/23645.2</f>
        <v>0.8903697156293878</v>
      </c>
      <c r="M119" s="40">
        <f>E119-березень!E119</f>
        <v>5200</v>
      </c>
      <c r="N119" s="40">
        <f>F119-березень!F119</f>
        <v>1357.9300000000003</v>
      </c>
      <c r="O119" s="53">
        <f t="shared" si="41"/>
        <v>-3842.0699999999997</v>
      </c>
      <c r="P119" s="60">
        <f aca="true" t="shared" si="42" ref="P119:P124">N119/M119*100</f>
        <v>26.11403846153847</v>
      </c>
      <c r="Q119" s="60">
        <f>N119-6401.1</f>
        <v>-5043.17</v>
      </c>
      <c r="R119" s="138">
        <f>N119/6401.1</f>
        <v>0.2121401009201544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658.88</v>
      </c>
      <c r="G120" s="49">
        <f t="shared" si="37"/>
        <v>658.88</v>
      </c>
      <c r="H120" s="40" t="e">
        <f t="shared" si="39"/>
        <v>#DIV/0!</v>
      </c>
      <c r="I120" s="60">
        <f t="shared" si="38"/>
        <v>658.88</v>
      </c>
      <c r="J120" s="60" t="e">
        <f t="shared" si="40"/>
        <v>#DIV/0!</v>
      </c>
      <c r="K120" s="60">
        <f>F120-436.1</f>
        <v>222.77999999999997</v>
      </c>
      <c r="L120" s="138">
        <f>F120/436.1</f>
        <v>1.5108461362072918</v>
      </c>
      <c r="M120" s="40">
        <f>E120-березень!E120</f>
        <v>0</v>
      </c>
      <c r="N120" s="40">
        <f>F120-березень!F120</f>
        <v>140.25</v>
      </c>
      <c r="O120" s="53">
        <f t="shared" si="41"/>
        <v>140.25</v>
      </c>
      <c r="P120" s="60" t="e">
        <f t="shared" si="42"/>
        <v>#DIV/0!</v>
      </c>
      <c r="Q120" s="60">
        <f>N120-155.6</f>
        <v>-15.349999999999994</v>
      </c>
      <c r="R120" s="138">
        <f>N120/155.6</f>
        <v>0.9013496143958869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1177.6</v>
      </c>
      <c r="G121" s="49">
        <f t="shared" si="37"/>
        <v>1177.6</v>
      </c>
      <c r="H121" s="40" t="e">
        <f t="shared" si="39"/>
        <v>#DIV/0!</v>
      </c>
      <c r="I121" s="60">
        <f t="shared" si="38"/>
        <v>1177.6</v>
      </c>
      <c r="J121" s="60" t="e">
        <f>F121/D121*100</f>
        <v>#DIV/0!</v>
      </c>
      <c r="K121" s="60">
        <f>F121-7276</f>
        <v>-6098.4</v>
      </c>
      <c r="L121" s="138">
        <f>F121/7276</f>
        <v>0.16184716877405167</v>
      </c>
      <c r="M121" s="40">
        <f>E121-березень!E121</f>
        <v>0</v>
      </c>
      <c r="N121" s="40">
        <f>F121-березень!F121</f>
        <v>33.63999999999987</v>
      </c>
      <c r="O121" s="53">
        <f t="shared" si="41"/>
        <v>33.63999999999987</v>
      </c>
      <c r="P121" s="60" t="e">
        <f t="shared" si="42"/>
        <v>#DIV/0!</v>
      </c>
      <c r="Q121" s="60">
        <f>N121-282.5</f>
        <v>-248.86000000000013</v>
      </c>
      <c r="R121" s="138">
        <f>N121/282.5</f>
        <v>0.11907964601769866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469.29</v>
      </c>
      <c r="G122" s="49">
        <f t="shared" si="37"/>
        <v>469.29</v>
      </c>
      <c r="H122" s="40" t="e">
        <f t="shared" si="39"/>
        <v>#DIV/0!</v>
      </c>
      <c r="I122" s="60">
        <f t="shared" si="38"/>
        <v>469.29</v>
      </c>
      <c r="J122" s="60" t="e">
        <f>F122/D122*100</f>
        <v>#DIV/0!</v>
      </c>
      <c r="K122" s="60">
        <f>F122-1170.5</f>
        <v>-701.21</v>
      </c>
      <c r="L122" s="138">
        <f>F122/1170.5</f>
        <v>0.4009312259718069</v>
      </c>
      <c r="M122" s="40">
        <f>E122-березень!E122</f>
        <v>0</v>
      </c>
      <c r="N122" s="40">
        <f>F122-березень!F122</f>
        <v>5.3700000000000045</v>
      </c>
      <c r="O122" s="53">
        <f t="shared" si="41"/>
        <v>5.3700000000000045</v>
      </c>
      <c r="P122" s="60" t="e">
        <f t="shared" si="42"/>
        <v>#DIV/0!</v>
      </c>
      <c r="Q122" s="60">
        <f>N122-856</f>
        <v>-850.63</v>
      </c>
      <c r="R122" s="138">
        <f>N122/865</f>
        <v>0.006208092485549138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23812.6</v>
      </c>
      <c r="F123" s="38">
        <f>F119+F120+F121+F122+F118</f>
        <v>23465.56</v>
      </c>
      <c r="G123" s="62">
        <f t="shared" si="37"/>
        <v>-347.03999999999724</v>
      </c>
      <c r="H123" s="72">
        <f t="shared" si="39"/>
        <v>98.5426202934581</v>
      </c>
      <c r="I123" s="61">
        <f t="shared" si="38"/>
        <v>-2521.824999999997</v>
      </c>
      <c r="J123" s="61">
        <f>F123/D123*100</f>
        <v>90.29596475366799</v>
      </c>
      <c r="K123" s="61">
        <f>F123-32616.1</f>
        <v>-9150.539999999997</v>
      </c>
      <c r="L123" s="139">
        <f>F123/32616.1</f>
        <v>0.71944714420179</v>
      </c>
      <c r="M123" s="62">
        <f>M119+M120+M121+M122+M118</f>
        <v>5200</v>
      </c>
      <c r="N123" s="62">
        <f>N119+N120+N121+N122+N118</f>
        <v>1542.54</v>
      </c>
      <c r="O123" s="61">
        <f t="shared" si="41"/>
        <v>-3657.46</v>
      </c>
      <c r="P123" s="61">
        <f t="shared" si="42"/>
        <v>29.66423076923077</v>
      </c>
      <c r="Q123" s="61">
        <f>N123-7775.9</f>
        <v>-6233.36</v>
      </c>
      <c r="R123" s="139">
        <f>N123/7775.9</f>
        <v>0.19837446469218997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4.36</v>
      </c>
      <c r="G124" s="49">
        <f t="shared" si="37"/>
        <v>-6.8</v>
      </c>
      <c r="H124" s="40">
        <f t="shared" si="39"/>
        <v>39.06810035842294</v>
      </c>
      <c r="I124" s="60">
        <f t="shared" si="38"/>
        <v>-39.14</v>
      </c>
      <c r="J124" s="60">
        <f>F124/D124*100</f>
        <v>10.022988505747128</v>
      </c>
      <c r="K124" s="60">
        <f>F124-97.8</f>
        <v>-93.44</v>
      </c>
      <c r="L124" s="138">
        <f>F124/97.8</f>
        <v>0.04458077709611452</v>
      </c>
      <c r="M124" s="40">
        <f>E124-березень!E124</f>
        <v>3</v>
      </c>
      <c r="N124" s="40">
        <f>F124-березень!F124</f>
        <v>0</v>
      </c>
      <c r="O124" s="53">
        <f t="shared" si="41"/>
        <v>-3</v>
      </c>
      <c r="P124" s="60">
        <f>N124/M124*100</f>
        <v>0</v>
      </c>
      <c r="Q124" s="60">
        <f>N124-0.8</f>
        <v>-0.8</v>
      </c>
      <c r="R124" s="138">
        <f>N124/0.8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E126-березень!E126</f>
        <v>0</v>
      </c>
      <c r="N126" s="40">
        <f>F126-березень!F126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2605.58</v>
      </c>
      <c r="G127" s="49">
        <f aca="true" t="shared" si="43" ref="G127:G134">F127-E127</f>
        <v>96.07999999999993</v>
      </c>
      <c r="H127" s="40">
        <f>F127/E127*100</f>
        <v>103.82865112572226</v>
      </c>
      <c r="I127" s="60">
        <f aca="true" t="shared" si="44" ref="I127:I134">F127-D127</f>
        <v>-6094.42</v>
      </c>
      <c r="J127" s="60">
        <f>F127/D127*100</f>
        <v>29.94919540229885</v>
      </c>
      <c r="K127" s="60">
        <f>F127-2832.5</f>
        <v>-226.92000000000007</v>
      </c>
      <c r="L127" s="138">
        <f>F127/2832.5</f>
        <v>0.9198870255957634</v>
      </c>
      <c r="M127" s="40">
        <f>E127-березень!E127</f>
        <v>2</v>
      </c>
      <c r="N127" s="40">
        <f>F127-березень!F127</f>
        <v>1.8299999999999272</v>
      </c>
      <c r="O127" s="53">
        <f aca="true" t="shared" si="45" ref="O127:O134">N127-M127</f>
        <v>-0.17000000000007276</v>
      </c>
      <c r="P127" s="60">
        <f>N127/M127*100</f>
        <v>91.49999999999636</v>
      </c>
      <c r="Q127" s="60">
        <f>N127-392.9</f>
        <v>-391.07000000000005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-0.35</v>
      </c>
      <c r="G128" s="49">
        <f t="shared" si="43"/>
        <v>-0.35</v>
      </c>
      <c r="H128" s="40"/>
      <c r="I128" s="60">
        <f t="shared" si="44"/>
        <v>-0.35</v>
      </c>
      <c r="J128" s="60"/>
      <c r="K128" s="60">
        <f>F128-(-0.6)</f>
        <v>0.25</v>
      </c>
      <c r="L128" s="138">
        <f>F128/(-0.6)</f>
        <v>0.5833333333333334</v>
      </c>
      <c r="M128" s="40">
        <f>E128-березень!E128</f>
        <v>0</v>
      </c>
      <c r="N128" s="40">
        <f>F128-березень!F128</f>
        <v>0.010000000000000009</v>
      </c>
      <c r="O128" s="53">
        <f t="shared" si="45"/>
        <v>0.010000000000000009</v>
      </c>
      <c r="P128" s="60"/>
      <c r="Q128" s="60">
        <f>N128-0.2</f>
        <v>-0.19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2618.3500000000004</v>
      </c>
      <c r="G129" s="62">
        <f t="shared" si="43"/>
        <v>90.49000000000069</v>
      </c>
      <c r="H129" s="72">
        <f>F129/E129*100</f>
        <v>103.57970773697913</v>
      </c>
      <c r="I129" s="61">
        <f t="shared" si="44"/>
        <v>-6132.35</v>
      </c>
      <c r="J129" s="61">
        <f>F129/D129*100</f>
        <v>29.92160627149828</v>
      </c>
      <c r="K129" s="61">
        <f>F129-2938.1</f>
        <v>-319.74999999999955</v>
      </c>
      <c r="L129" s="139">
        <f>G129/2938.1</f>
        <v>0.030798815561077122</v>
      </c>
      <c r="M129" s="62">
        <f>M124+M127+M128+M126</f>
        <v>5</v>
      </c>
      <c r="N129" s="62">
        <f>N124+N127+N128+N126</f>
        <v>1.8399999999999272</v>
      </c>
      <c r="O129" s="61">
        <f t="shared" si="45"/>
        <v>-3.160000000000073</v>
      </c>
      <c r="P129" s="61">
        <f>N129/M129*100</f>
        <v>36.79999999999855</v>
      </c>
      <c r="Q129" s="61">
        <f>N129-393.8</f>
        <v>-391.9600000000001</v>
      </c>
      <c r="R129" s="137">
        <f>N129/393.8</f>
        <v>0.004672422549517337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10.97</v>
      </c>
      <c r="G130" s="49">
        <f>F130-E130</f>
        <v>2.7200000000000006</v>
      </c>
      <c r="H130" s="40">
        <f>F130/E130*100</f>
        <v>132.96969696969697</v>
      </c>
      <c r="I130" s="60">
        <f>F130-D130</f>
        <v>-19.03</v>
      </c>
      <c r="J130" s="60">
        <f>F130/D130*100</f>
        <v>36.56666666666667</v>
      </c>
      <c r="K130" s="60">
        <f>F130-8.8</f>
        <v>2.17</v>
      </c>
      <c r="L130" s="138">
        <f>F130/8.8</f>
        <v>1.246590909090909</v>
      </c>
      <c r="M130" s="40">
        <f>E130-березень!E130</f>
        <v>0.40000000000000036</v>
      </c>
      <c r="N130" s="40">
        <f>F130-березень!F130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27481.309999999998</v>
      </c>
      <c r="F133" s="31">
        <f>F116+F130+F123+F129+F132+F131</f>
        <v>26491.310000000005</v>
      </c>
      <c r="G133" s="50">
        <f t="shared" si="43"/>
        <v>-989.9999999999927</v>
      </c>
      <c r="H133" s="51">
        <f>F133/E133*100</f>
        <v>96.39755164509991</v>
      </c>
      <c r="I133" s="36">
        <f t="shared" si="44"/>
        <v>-12216.374999999993</v>
      </c>
      <c r="J133" s="36">
        <f>F133/D133*100</f>
        <v>68.43940679996751</v>
      </c>
      <c r="K133" s="36">
        <f>F133-36860.1</f>
        <v>-10368.789999999994</v>
      </c>
      <c r="L133" s="136">
        <f>F133/36860.1</f>
        <v>0.7186988098241732</v>
      </c>
      <c r="M133" s="31">
        <f>M116+M130+M123+M129+M132+M131</f>
        <v>5554.9</v>
      </c>
      <c r="N133" s="31">
        <f>N116+N130+N123+N129+N132+N131</f>
        <v>1589.35</v>
      </c>
      <c r="O133" s="36">
        <f t="shared" si="45"/>
        <v>-3965.5499999999997</v>
      </c>
      <c r="P133" s="36">
        <f>N133/M133*100</f>
        <v>28.61167617778898</v>
      </c>
      <c r="Q133" s="36">
        <f>N133-8565.9</f>
        <v>-6976.549999999999</v>
      </c>
      <c r="R133" s="136">
        <f>N133/8564.9</f>
        <v>0.18556550572686195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188659.00000000003</v>
      </c>
      <c r="F134" s="31">
        <f>F106+F133</f>
        <v>144976.2</v>
      </c>
      <c r="G134" s="50">
        <f t="shared" si="43"/>
        <v>-43682.80000000002</v>
      </c>
      <c r="H134" s="51">
        <f>F134/E134*100</f>
        <v>76.84563153626384</v>
      </c>
      <c r="I134" s="36">
        <f t="shared" si="44"/>
        <v>-430771.38499999995</v>
      </c>
      <c r="J134" s="36">
        <f>F134/D134*100</f>
        <v>25.18051378365747</v>
      </c>
      <c r="K134" s="36">
        <f>F134-193362.2</f>
        <v>-48386</v>
      </c>
      <c r="L134" s="136">
        <f>F134/193362.2</f>
        <v>0.749764948888666</v>
      </c>
      <c r="M134" s="22">
        <f>M106+M133</f>
        <v>48656.49</v>
      </c>
      <c r="N134" s="22">
        <f>N106+N133</f>
        <v>9339.730000000003</v>
      </c>
      <c r="O134" s="36">
        <f t="shared" si="45"/>
        <v>-39316.759999999995</v>
      </c>
      <c r="P134" s="36">
        <f>N134/M134*100</f>
        <v>19.19523993613186</v>
      </c>
      <c r="Q134" s="36">
        <f>N134-50285.6</f>
        <v>-40945.869999999995</v>
      </c>
      <c r="R134" s="136">
        <f>N134/50285.6</f>
        <v>0.18573368916747546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15</v>
      </c>
      <c r="D136" s="4" t="s">
        <v>118</v>
      </c>
    </row>
    <row r="137" spans="2:17" ht="31.5">
      <c r="B137" s="78" t="s">
        <v>154</v>
      </c>
      <c r="C137" s="39">
        <f>IF(O106&lt;0,ABS(O106/C136),0)</f>
        <v>2356.747333333333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41737</v>
      </c>
      <c r="D138" s="39">
        <v>531.5</v>
      </c>
      <c r="N138" s="152"/>
      <c r="O138" s="152"/>
    </row>
    <row r="139" spans="3:15" ht="15.75">
      <c r="C139" s="120">
        <v>41736</v>
      </c>
      <c r="D139" s="39">
        <v>3334.1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41733</v>
      </c>
      <c r="D140" s="39">
        <v>1874.2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116527.57708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102702.35512000001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210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188</v>
      </c>
      <c r="J4" s="197" t="s">
        <v>189</v>
      </c>
      <c r="K4" s="201" t="s">
        <v>196</v>
      </c>
      <c r="L4" s="202"/>
      <c r="M4" s="214"/>
      <c r="N4" s="168" t="s">
        <v>213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214</v>
      </c>
      <c r="F5" s="216"/>
      <c r="G5" s="210"/>
      <c r="H5" s="178"/>
      <c r="I5" s="212"/>
      <c r="J5" s="199"/>
      <c r="K5" s="153"/>
      <c r="L5" s="164"/>
      <c r="M5" s="151" t="s">
        <v>211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9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94">
        <f>N55-4813.8</f>
        <v>-96.90000000000055</v>
      </c>
      <c r="R55" s="19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173.9</v>
      </c>
      <c r="G102" s="144"/>
      <c r="H102" s="146"/>
      <c r="I102" s="145"/>
      <c r="J102" s="145"/>
      <c r="K102" s="148">
        <f>F102-88.6</f>
        <v>85.30000000000001</v>
      </c>
      <c r="L102" s="149">
        <f>F102/88.6</f>
        <v>1.9627539503386007</v>
      </c>
      <c r="M102" s="40">
        <f>E102-лютий!E102</f>
        <v>0</v>
      </c>
      <c r="N102" s="40">
        <f>F102-лютий!F102</f>
        <v>43.80000000000001</v>
      </c>
      <c r="O102" s="53"/>
      <c r="P102" s="60"/>
      <c r="Q102" s="60">
        <f>N102-31.4</f>
        <v>12.400000000000013</v>
      </c>
      <c r="R102" s="135">
        <f>N102/31.4</f>
        <v>1.3949044585987265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86245.48</v>
      </c>
      <c r="G109" s="111">
        <f>F109-E109</f>
        <v>-7435.62000000001</v>
      </c>
      <c r="H109" s="72">
        <f>F109/E109*100</f>
        <v>92.06283871560004</v>
      </c>
      <c r="I109" s="81">
        <f t="shared" si="34"/>
        <v>-333320.72000000003</v>
      </c>
      <c r="J109" s="52">
        <f t="shared" si="36"/>
        <v>20.55586937174634</v>
      </c>
      <c r="K109" s="52"/>
      <c r="L109" s="137"/>
      <c r="M109" s="122">
        <f>E109-лютий!E109</f>
        <v>33666.40000000001</v>
      </c>
      <c r="N109" s="71">
        <f>N107</f>
        <v>31372.950000000004</v>
      </c>
      <c r="O109" s="118">
        <f t="shared" si="35"/>
        <v>-2293.4500000000044</v>
      </c>
      <c r="P109" s="52">
        <f>N109/M109*100</f>
        <v>93.18771831856093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5142.169999999998</v>
      </c>
      <c r="F111" s="84">
        <v>0</v>
      </c>
      <c r="G111" s="62">
        <f>F111-E111</f>
        <v>-5142.169999999998</v>
      </c>
      <c r="H111" s="72"/>
      <c r="I111" s="85"/>
      <c r="J111" s="52"/>
      <c r="K111" s="52"/>
      <c r="L111" s="137"/>
      <c r="M111" s="217">
        <f>E111</f>
        <v>5142.169999999998</v>
      </c>
      <c r="N111" s="84">
        <v>0</v>
      </c>
      <c r="O111" s="118">
        <f>N111-M111</f>
        <v>-5142.169999999998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>N124/M124*100</f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52"/>
      <c r="O138" s="152"/>
    </row>
    <row r="139" spans="3:15" ht="15.75">
      <c r="C139" s="120">
        <v>41726</v>
      </c>
      <c r="D139" s="39">
        <v>4682.6</v>
      </c>
      <c r="F139" s="4" t="s">
        <v>166</v>
      </c>
      <c r="G139" s="160" t="s">
        <v>151</v>
      </c>
      <c r="H139" s="160"/>
      <c r="I139" s="115"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41725</v>
      </c>
      <c r="D140" s="39">
        <v>3360.7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114985.02570999999</v>
      </c>
      <c r="E142" s="80"/>
      <c r="F142" s="100" t="s">
        <v>147</v>
      </c>
      <c r="G142" s="160" t="s">
        <v>149</v>
      </c>
      <c r="H142" s="160"/>
      <c r="I142" s="116">
        <v>101159.80375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3918.1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2" sqref="M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187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190</v>
      </c>
      <c r="N3" s="172" t="s">
        <v>185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191</v>
      </c>
      <c r="F4" s="173" t="s">
        <v>116</v>
      </c>
      <c r="G4" s="175" t="s">
        <v>167</v>
      </c>
      <c r="H4" s="177" t="s">
        <v>168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89"/>
      <c r="N4" s="168" t="s">
        <v>194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184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217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87" sqref="D8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192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178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175</v>
      </c>
      <c r="H4" s="177" t="s">
        <v>176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98"/>
      <c r="N4" s="168" t="s">
        <v>186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177</v>
      </c>
      <c r="L5" s="164"/>
      <c r="M5" s="199"/>
      <c r="N5" s="169"/>
      <c r="O5" s="171"/>
      <c r="P5" s="172"/>
      <c r="Q5" s="153" t="s">
        <v>179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2014-04-09T08:32:55Z</cp:lastPrinted>
  <dcterms:created xsi:type="dcterms:W3CDTF">2003-07-28T11:27:56Z</dcterms:created>
  <dcterms:modified xsi:type="dcterms:W3CDTF">2014-04-09T08:40:57Z</dcterms:modified>
  <cp:category/>
  <cp:version/>
  <cp:contentType/>
  <cp:contentStatus/>
</cp:coreProperties>
</file>